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En francais" sheetId="1" r:id="rId1"/>
    <sheet name="Basic Calculation Sheet - Table" sheetId="2" r:id="rId2"/>
  </sheets>
  <definedNames/>
  <calcPr fullCalcOnLoad="1"/>
</workbook>
</file>

<file path=xl/sharedStrings.xml><?xml version="1.0" encoding="utf-8"?>
<sst xmlns="http://schemas.openxmlformats.org/spreadsheetml/2006/main" count="73" uniqueCount="73">
  <si>
    <t xml:space="preserve"> Dimensionnement d’un système aquaponique (version 2.0)</t>
  </si>
  <si>
    <r>
      <rPr>
        <b/>
        <i/>
        <sz val="14"/>
        <color indexed="8"/>
        <rFont val="Arial"/>
        <family val="0"/>
      </rPr>
      <t xml:space="preserve">Ecrit par le Dr Wilson Lennard , traduit par Gregory BITON                        </t>
    </r>
    <r>
      <rPr>
        <sz val="14"/>
        <color indexed="8"/>
        <rFont val="Arial"/>
        <family val="0"/>
      </rPr>
      <t xml:space="preserve">                  </t>
    </r>
  </si>
  <si>
    <t>Entrées à renseigner</t>
  </si>
  <si>
    <t>Commentaires</t>
  </si>
  <si>
    <t>Volume du bassin à poissons (litres)</t>
  </si>
  <si>
    <t>Le volume de bassin à poisson que vous choisissez pour votre système (additionner si plusieurs)</t>
  </si>
  <si>
    <t>Densité de poissons (kg/m3) (entre 6 et 17)</t>
  </si>
  <si>
    <t>La densité de poissons que vous souhaitez avoir dans votre bassin à poissons (jusqu'à 17 kg/m3 maximum)</t>
  </si>
  <si>
    <t>Taux de nourrissage  (% de la masse totale de poissons)</t>
  </si>
  <si>
    <t>Taux de nourrissage des poissons quotidiennement (généralement entre 1 et 2% de la masse de poissons)</t>
  </si>
  <si>
    <t>Taux de protéines dans la nourriture (%)</t>
  </si>
  <si>
    <t>Le taux de protéine contenu dans la nourriture (généralement 32% pour les poissons omnivores, 45% pour les poissons carnivores)</t>
  </si>
  <si>
    <t>Surface spécifique du substrat (m2/m3)</t>
  </si>
  <si>
    <t>Surface spécifique du substrat utilisé  (gravier = 300, billes d’argile = 250, pouzzolane = 400)</t>
  </si>
  <si>
    <t>Sorties à ne pas modifier</t>
  </si>
  <si>
    <t>Flux d’eau  (litres/heure)</t>
  </si>
  <si>
    <t>Le volume minimum d’eau qui doit être amené à votre bac de culture chaque heure pour minéraliser directement dans le bac de culture.
 Attention, ne tient pas compte des besoins en oxygénation de l’eau</t>
  </si>
  <si>
    <t>Surface de bac nécessaire pour la minéralisation (m2)</t>
  </si>
  <si>
    <t>La surface de substrat nécessaire pour la minéralisation des déchets organiques solides</t>
  </si>
  <si>
    <t>Surface de bac de culture (m2) si extraction des boues</t>
  </si>
  <si>
    <t xml:space="preserve">Surface totale de lit de culture (@ 300mm de profondeur) nécessaire avec les ratios de l’UVI </t>
  </si>
  <si>
    <t>Surface de bac nécessaire si réinjection des boues minéralisées (m2)</t>
  </si>
  <si>
    <t>Surface totale de lit de culture (@ 300mm de profondeur) nécessaire avec les ratios de Ryan Chatterson</t>
  </si>
  <si>
    <t xml:space="preserve"> Aquaponic Media Bed Sizing Model - Calculation Sheet</t>
  </si>
  <si>
    <t>Developed by: Wilson Lennard PhD</t>
  </si>
  <si>
    <t>Part A: Biofiltration Capacity</t>
  </si>
  <si>
    <t>Inputs</t>
  </si>
  <si>
    <t>Outputs</t>
  </si>
  <si>
    <t>Comments</t>
  </si>
  <si>
    <t>Fish tank Volume (L)</t>
  </si>
  <si>
    <r>
      <rPr>
        <sz val="10"/>
        <color indexed="8"/>
        <rFont val="Tahoma"/>
        <family val="0"/>
      </rPr>
      <t>Fish tank Volume (m</t>
    </r>
    <r>
      <rPr>
        <vertAlign val="superscript"/>
        <sz val="10"/>
        <color indexed="8"/>
        <rFont val="Tahoma"/>
        <family val="0"/>
      </rPr>
      <t>3</t>
    </r>
    <r>
      <rPr>
        <sz val="10"/>
        <color indexed="8"/>
        <rFont val="Tahoma"/>
        <family val="0"/>
      </rPr>
      <t>)</t>
    </r>
  </si>
  <si>
    <r>
      <rPr>
        <sz val="10"/>
        <color indexed="8"/>
        <rFont val="Tahoma"/>
        <family val="0"/>
      </rPr>
      <t>Fish culture density (kg/m</t>
    </r>
    <r>
      <rPr>
        <vertAlign val="superscript"/>
        <sz val="10"/>
        <color indexed="8"/>
        <rFont val="Tahoma"/>
        <family val="0"/>
      </rPr>
      <t>3</t>
    </r>
    <r>
      <rPr>
        <sz val="10"/>
        <color indexed="8"/>
        <rFont val="Tahoma"/>
        <family val="0"/>
      </rPr>
      <t>) (between 5 and 30)</t>
    </r>
  </si>
  <si>
    <t>Total fish biomass (kg)</t>
  </si>
  <si>
    <t>Daily feed rate (%of body weight)</t>
  </si>
  <si>
    <t>TAN production (mg/L/day)</t>
  </si>
  <si>
    <t>Feed protein (%)</t>
  </si>
  <si>
    <t>Daily Feed to system (kg/day)</t>
  </si>
  <si>
    <r>
      <rPr>
        <sz val="10"/>
        <color indexed="8"/>
        <rFont val="Tahoma"/>
        <family val="0"/>
      </rPr>
      <t>Surface area of media (m</t>
    </r>
    <r>
      <rPr>
        <vertAlign val="superscript"/>
        <sz val="10"/>
        <color indexed="8"/>
        <rFont val="Tahoma"/>
        <family val="0"/>
      </rPr>
      <t>2</t>
    </r>
    <r>
      <rPr>
        <sz val="10"/>
        <color indexed="8"/>
        <rFont val="Tahoma"/>
        <family val="0"/>
      </rPr>
      <t>/m</t>
    </r>
    <r>
      <rPr>
        <vertAlign val="superscript"/>
        <sz val="10"/>
        <color indexed="8"/>
        <rFont val="Tahoma"/>
        <family val="0"/>
      </rPr>
      <t>3</t>
    </r>
    <r>
      <rPr>
        <sz val="10"/>
        <color indexed="8"/>
        <rFont val="Tahoma"/>
        <family val="0"/>
      </rPr>
      <t>)</t>
    </r>
  </si>
  <si>
    <t>Biofilter volume required (L)</t>
  </si>
  <si>
    <t>This is the media bed volume required to</t>
  </si>
  <si>
    <t>meet the biofiltration requirement</t>
  </si>
  <si>
    <t>Flow rate required (L/day)</t>
  </si>
  <si>
    <t>Flow rate required (L/Hour)</t>
  </si>
  <si>
    <t xml:space="preserve">This is the minimum water volume </t>
  </si>
  <si>
    <t>required to be pumped to the bed every hour</t>
  </si>
  <si>
    <t>Part B: Mineralisation Capacity</t>
  </si>
  <si>
    <t>Required solid waste concentration (mg/L/day)</t>
  </si>
  <si>
    <t>Solid waste output (kg/day)</t>
  </si>
  <si>
    <t>Solid waste concentration (mg/L/day)</t>
  </si>
  <si>
    <r>
      <rPr>
        <b/>
        <sz val="10"/>
        <color indexed="8"/>
        <rFont val="Tahoma"/>
        <family val="0"/>
      </rPr>
      <t>Surface area of filter (m</t>
    </r>
    <r>
      <rPr>
        <b/>
        <vertAlign val="superscript"/>
        <sz val="10"/>
        <color indexed="8"/>
        <rFont val="Tahoma"/>
        <family val="0"/>
      </rPr>
      <t>2</t>
    </r>
    <r>
      <rPr>
        <b/>
        <sz val="10"/>
        <color indexed="8"/>
        <rFont val="Tahoma"/>
        <family val="0"/>
      </rPr>
      <t>)</t>
    </r>
  </si>
  <si>
    <t xml:space="preserve">This is the bed area required to meet the  </t>
  </si>
  <si>
    <t>mineralisation requirement of the fish waste</t>
  </si>
  <si>
    <t>Depth of filter (m)</t>
  </si>
  <si>
    <t>**Note: if depth models at less than 0.3m (300mm), then use 0.3m as depth</t>
  </si>
  <si>
    <t>C* (mg/L)</t>
  </si>
  <si>
    <t>ln(Ci - C*/Ce - C*)</t>
  </si>
  <si>
    <t>Part C: Media Bed Flood Volume</t>
  </si>
  <si>
    <r>
      <rPr>
        <sz val="10"/>
        <color indexed="8"/>
        <rFont val="Tahoma"/>
        <family val="0"/>
      </rPr>
      <t>Bed surface area (m</t>
    </r>
    <r>
      <rPr>
        <vertAlign val="superscript"/>
        <sz val="10"/>
        <color indexed="8"/>
        <rFont val="Tahoma"/>
        <family val="0"/>
      </rPr>
      <t>2</t>
    </r>
    <r>
      <rPr>
        <sz val="10"/>
        <color indexed="8"/>
        <rFont val="Tahoma"/>
        <family val="0"/>
      </rPr>
      <t>)</t>
    </r>
  </si>
  <si>
    <t>Bed volume (L)</t>
  </si>
  <si>
    <t>Bed depth (m)</t>
  </si>
  <si>
    <t>Water required to flood bed (L)</t>
  </si>
  <si>
    <t>Media void volume (%)</t>
  </si>
  <si>
    <t>Water remaining in fish tank (L)</t>
  </si>
  <si>
    <t>Part D: Suggested Fish Tank Volume (L)</t>
  </si>
  <si>
    <t>Suggested fish tank volume (L)</t>
  </si>
  <si>
    <t xml:space="preserve">This is the suggested fish tank volume based </t>
  </si>
  <si>
    <t>on compensation for flood cycle volume loss</t>
  </si>
  <si>
    <t>Part E: Bed Size Based On Fish Feed Input</t>
  </si>
  <si>
    <t xml:space="preserve">             (100% media bed model ONLY)</t>
  </si>
  <si>
    <t>Daily fish feed input (kg)</t>
  </si>
  <si>
    <r>
      <rPr>
        <b/>
        <sz val="10"/>
        <color indexed="8"/>
        <rFont val="Tahoma"/>
        <family val="0"/>
      </rPr>
      <t>Bed surface area (leafy greens) (m</t>
    </r>
    <r>
      <rPr>
        <b/>
        <vertAlign val="superscript"/>
        <sz val="10"/>
        <color indexed="8"/>
        <rFont val="Tahoma"/>
        <family val="0"/>
      </rPr>
      <t>2</t>
    </r>
    <r>
      <rPr>
        <b/>
        <sz val="10"/>
        <color indexed="8"/>
        <rFont val="Tahoma"/>
        <family val="0"/>
      </rPr>
      <t>)</t>
    </r>
  </si>
  <si>
    <t>from UVI feed input ratio</t>
  </si>
  <si>
    <r>
      <rPr>
        <sz val="10"/>
        <color indexed="8"/>
        <rFont val="Tahoma"/>
        <family val="0"/>
      </rPr>
      <t>Bed surface area (fruiting) (m</t>
    </r>
    <r>
      <rPr>
        <vertAlign val="superscript"/>
        <sz val="10"/>
        <color indexed="8"/>
        <rFont val="Tahoma"/>
        <family val="0"/>
      </rPr>
      <t>2</t>
    </r>
    <r>
      <rPr>
        <sz val="10"/>
        <color indexed="8"/>
        <rFont val="Tahoma"/>
        <family val="0"/>
      </rPr>
      <t>)</t>
    </r>
  </si>
</sst>
</file>

<file path=xl/styles.xml><?xml version="1.0" encoding="utf-8"?>
<styleSheet xmlns="http://schemas.openxmlformats.org/spreadsheetml/2006/main">
  <numFmts count="3">
    <numFmt numFmtId="59" formatCode="0.0"/>
    <numFmt numFmtId="60" formatCode="0.00000"/>
    <numFmt numFmtId="61" formatCode="#,##0.0"/>
  </numFmts>
  <fonts count="17">
    <font>
      <sz val="11"/>
      <color indexed="8"/>
      <name val="Helvetica Neue"/>
      <family val="0"/>
    </font>
    <font>
      <sz val="12"/>
      <color indexed="8"/>
      <name val="Helvetica"/>
      <family val="0"/>
    </font>
    <font>
      <sz val="14.3"/>
      <color indexed="8"/>
      <name val="Helvetica Neue"/>
      <family val="0"/>
    </font>
    <font>
      <sz val="36"/>
      <color indexed="8"/>
      <name val="Arial"/>
      <family val="0"/>
    </font>
    <font>
      <b/>
      <i/>
      <sz val="14"/>
      <color indexed="8"/>
      <name val="Arial"/>
      <family val="0"/>
    </font>
    <font>
      <sz val="14"/>
      <color indexed="8"/>
      <name val="Arial"/>
      <family val="0"/>
    </font>
    <font>
      <b/>
      <sz val="14"/>
      <color indexed="8"/>
      <name val="Arial"/>
      <family val="0"/>
    </font>
    <font>
      <i/>
      <sz val="14"/>
      <color indexed="8"/>
      <name val="Arial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b/>
      <sz val="16"/>
      <color indexed="8"/>
      <name val="Tahoma"/>
      <family val="0"/>
    </font>
    <font>
      <vertAlign val="superscript"/>
      <sz val="10"/>
      <color indexed="8"/>
      <name val="Tahoma"/>
      <family val="0"/>
    </font>
    <font>
      <b/>
      <vertAlign val="superscript"/>
      <sz val="10"/>
      <color indexed="8"/>
      <name val="Tahoma"/>
      <family val="0"/>
    </font>
    <font>
      <b/>
      <sz val="8"/>
      <color indexed="8"/>
      <name val="Tahoma"/>
      <family val="0"/>
    </font>
    <font>
      <sz val="10"/>
      <color indexed="9"/>
      <name val="Tahoma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0"/>
        <bgColor indexed="64"/>
      </patternFill>
    </fill>
  </fills>
  <borders count="35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 style="thin">
        <color indexed="11"/>
      </bottom>
    </border>
    <border>
      <left/>
      <right style="thin">
        <color indexed="10"/>
      </right>
      <top style="thin">
        <color indexed="10"/>
      </top>
      <bottom/>
    </border>
    <border>
      <left style="thin">
        <color indexed="10"/>
      </left>
      <right style="thin">
        <color indexed="11"/>
      </right>
      <top/>
      <bottom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0"/>
      </right>
      <top/>
      <bottom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3"/>
      </bottom>
    </border>
    <border>
      <left style="thin">
        <color indexed="11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1"/>
      </right>
      <top style="thin">
        <color indexed="13"/>
      </top>
      <bottom style="thin">
        <color indexed="13"/>
      </bottom>
    </border>
    <border>
      <left style="thin">
        <color indexed="11"/>
      </left>
      <right style="thin">
        <color indexed="11"/>
      </right>
      <top style="thin">
        <color indexed="13"/>
      </top>
      <bottom style="thin">
        <color indexed="11"/>
      </bottom>
    </border>
    <border>
      <left style="thin">
        <color indexed="10"/>
      </left>
      <right style="thin">
        <color indexed="11"/>
      </right>
      <top/>
      <bottom style="thin">
        <color indexed="10"/>
      </bottom>
    </border>
    <border>
      <left style="thin">
        <color indexed="11"/>
      </left>
      <right style="thin">
        <color indexed="10"/>
      </right>
      <top/>
      <bottom style="thin">
        <color indexed="10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/>
    </border>
    <border>
      <left style="thin">
        <color indexed="16"/>
      </left>
      <right/>
      <top style="thin">
        <color indexed="16"/>
      </top>
      <bottom style="thin">
        <color indexed="16"/>
      </bottom>
    </border>
    <border>
      <left/>
      <right/>
      <top style="thin">
        <color indexed="16"/>
      </top>
      <bottom style="thin">
        <color indexed="16"/>
      </bottom>
    </border>
    <border>
      <left/>
      <right style="thin">
        <color indexed="16"/>
      </right>
      <top style="thin">
        <color indexed="16"/>
      </top>
      <bottom style="thin">
        <color indexed="16"/>
      </bottom>
    </border>
    <border>
      <left/>
      <right/>
      <top/>
      <bottom style="thin">
        <color indexed="8"/>
      </bottom>
    </border>
    <border>
      <left/>
      <right style="thin">
        <color indexed="16"/>
      </right>
      <top style="thin">
        <color indexed="16"/>
      </top>
      <bottom/>
    </border>
    <border>
      <left/>
      <right style="thin">
        <color indexed="8"/>
      </right>
      <top style="thin">
        <color indexed="16"/>
      </top>
      <bottom style="thin">
        <color indexed="1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16"/>
      </left>
      <right style="thin">
        <color indexed="16"/>
      </right>
      <top/>
      <bottom style="thin">
        <color indexed="16"/>
      </bottom>
    </border>
    <border>
      <left style="thin">
        <color indexed="16"/>
      </left>
      <right/>
      <top style="thin">
        <color indexed="8"/>
      </top>
      <bottom/>
    </border>
    <border>
      <left/>
      <right style="thin">
        <color indexed="16"/>
      </right>
      <top/>
      <bottom style="thin">
        <color indexed="16"/>
      </bottom>
    </border>
    <border>
      <left style="thin">
        <color indexed="16"/>
      </left>
      <right style="thin">
        <color indexed="16"/>
      </right>
      <top/>
      <bottom style="thin">
        <color indexed="8"/>
      </bottom>
    </border>
    <border>
      <left style="thin">
        <color indexed="16"/>
      </left>
      <right style="thin">
        <color indexed="8"/>
      </right>
      <top style="thin">
        <color indexed="16"/>
      </top>
      <bottom style="thin">
        <color indexed="16"/>
      </bottom>
    </border>
    <border>
      <left style="thin">
        <color indexed="16"/>
      </left>
      <right/>
      <top style="thin">
        <color indexed="8"/>
      </top>
      <bottom style="thin">
        <color indexed="16"/>
      </bottom>
    </border>
    <border>
      <left/>
      <right/>
      <top/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16"/>
      </right>
      <top style="thin">
        <color indexed="16"/>
      </top>
      <bottom style="thin">
        <color indexed="16"/>
      </bottom>
    </border>
    <border>
      <left/>
      <right style="thin">
        <color indexed="16"/>
      </right>
      <top style="thin">
        <color indexed="8"/>
      </top>
      <bottom style="thin">
        <color indexed="16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NumberFormat="1" applyFont="1" applyAlignment="1">
      <alignment vertical="top"/>
    </xf>
    <xf numFmtId="0" fontId="0" fillId="2" borderId="1" xfId="0" applyFont="1" applyFill="1" applyBorder="1" applyAlignment="1">
      <alignment vertical="top"/>
    </xf>
    <xf numFmtId="0" fontId="0" fillId="2" borderId="2" xfId="0" applyFont="1" applyFill="1" applyBorder="1" applyAlignment="1">
      <alignment vertical="top"/>
    </xf>
    <xf numFmtId="0" fontId="0" fillId="2" borderId="3" xfId="0" applyFont="1" applyFill="1" applyBorder="1" applyAlignment="1">
      <alignment vertical="top"/>
    </xf>
    <xf numFmtId="0" fontId="0" fillId="2" borderId="4" xfId="0" applyFont="1" applyFill="1" applyBorder="1" applyAlignment="1">
      <alignment vertical="top"/>
    </xf>
    <xf numFmtId="49" fontId="3" fillId="2" borderId="5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vertical="top"/>
    </xf>
    <xf numFmtId="49" fontId="4" fillId="3" borderId="7" xfId="0" applyNumberFormat="1" applyFont="1" applyFill="1" applyBorder="1" applyAlignment="1">
      <alignment horizontal="right" vertical="center"/>
    </xf>
    <xf numFmtId="1" fontId="4" fillId="3" borderId="7" xfId="0" applyNumberFormat="1" applyFont="1" applyFill="1" applyBorder="1" applyAlignment="1">
      <alignment horizontal="right" vertical="center"/>
    </xf>
    <xf numFmtId="49" fontId="6" fillId="4" borderId="8" xfId="0" applyNumberFormat="1" applyFont="1" applyFill="1" applyBorder="1" applyAlignment="1">
      <alignment vertical="center"/>
    </xf>
    <xf numFmtId="1" fontId="6" fillId="4" borderId="9" xfId="0" applyNumberFormat="1" applyFont="1" applyFill="1" applyBorder="1" applyAlignment="1">
      <alignment horizontal="center" vertical="center"/>
    </xf>
    <xf numFmtId="49" fontId="6" fillId="4" borderId="10" xfId="0" applyNumberFormat="1" applyFont="1" applyFill="1" applyBorder="1" applyAlignment="1">
      <alignment vertical="center"/>
    </xf>
    <xf numFmtId="49" fontId="5" fillId="3" borderId="11" xfId="0" applyNumberFormat="1" applyFont="1" applyFill="1" applyBorder="1" applyAlignment="1">
      <alignment vertical="center"/>
    </xf>
    <xf numFmtId="3" fontId="6" fillId="4" borderId="11" xfId="0" applyNumberFormat="1" applyFont="1" applyFill="1" applyBorder="1" applyAlignment="1">
      <alignment horizontal="center" vertical="center"/>
    </xf>
    <xf numFmtId="49" fontId="7" fillId="3" borderId="11" xfId="0" applyNumberFormat="1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vertical="center"/>
    </xf>
    <xf numFmtId="1" fontId="6" fillId="4" borderId="5" xfId="0" applyNumberFormat="1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vertical="center"/>
    </xf>
    <xf numFmtId="49" fontId="5" fillId="3" borderId="5" xfId="0" applyNumberFormat="1" applyFont="1" applyFill="1" applyBorder="1" applyAlignment="1">
      <alignment vertical="center"/>
    </xf>
    <xf numFmtId="59" fontId="6" fillId="4" borderId="5" xfId="0" applyNumberFormat="1" applyFont="1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vertical="center"/>
    </xf>
    <xf numFmtId="49" fontId="6" fillId="5" borderId="5" xfId="0" applyNumberFormat="1" applyFont="1" applyFill="1" applyBorder="1" applyAlignment="1">
      <alignment vertical="center"/>
    </xf>
    <xf numFmtId="1" fontId="6" fillId="5" borderId="5" xfId="0" applyNumberFormat="1" applyFont="1" applyFill="1" applyBorder="1" applyAlignment="1">
      <alignment vertical="center"/>
    </xf>
    <xf numFmtId="3" fontId="4" fillId="5" borderId="5" xfId="0" applyNumberFormat="1" applyFont="1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vertical="center" wrapText="1"/>
    </xf>
    <xf numFmtId="59" fontId="4" fillId="5" borderId="5" xfId="0" applyNumberFormat="1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vertical="top"/>
    </xf>
    <xf numFmtId="0" fontId="0" fillId="2" borderId="13" xfId="0" applyFont="1" applyFill="1" applyBorder="1" applyAlignment="1">
      <alignment vertical="top"/>
    </xf>
    <xf numFmtId="0" fontId="0" fillId="0" borderId="0" xfId="0" applyNumberFormat="1" applyFont="1" applyAlignment="1">
      <alignment vertical="top"/>
    </xf>
    <xf numFmtId="1" fontId="8" fillId="2" borderId="14" xfId="0" applyNumberFormat="1" applyFont="1" applyFill="1" applyBorder="1" applyAlignment="1">
      <alignment/>
    </xf>
    <xf numFmtId="1" fontId="9" fillId="2" borderId="14" xfId="0" applyNumberFormat="1" applyFont="1" applyFill="1" applyBorder="1" applyAlignment="1">
      <alignment/>
    </xf>
    <xf numFmtId="1" fontId="8" fillId="2" borderId="14" xfId="0" applyNumberFormat="1" applyFont="1" applyFill="1" applyBorder="1" applyAlignment="1">
      <alignment horizontal="center"/>
    </xf>
    <xf numFmtId="49" fontId="10" fillId="2" borderId="14" xfId="0" applyNumberFormat="1" applyFont="1" applyFill="1" applyBorder="1" applyAlignment="1">
      <alignment horizontal="center"/>
    </xf>
    <xf numFmtId="1" fontId="10" fillId="2" borderId="14" xfId="0" applyNumberFormat="1" applyFont="1" applyFill="1" applyBorder="1" applyAlignment="1">
      <alignment horizontal="center"/>
    </xf>
    <xf numFmtId="49" fontId="9" fillId="2" borderId="14" xfId="0" applyNumberFormat="1" applyFont="1" applyFill="1" applyBorder="1" applyAlignment="1">
      <alignment horizontal="center"/>
    </xf>
    <xf numFmtId="1" fontId="9" fillId="2" borderId="14" xfId="0" applyNumberFormat="1" applyFont="1" applyFill="1" applyBorder="1" applyAlignment="1">
      <alignment horizontal="center"/>
    </xf>
    <xf numFmtId="49" fontId="9" fillId="2" borderId="14" xfId="0" applyNumberFormat="1" applyFont="1" applyFill="1" applyBorder="1" applyAlignment="1">
      <alignment horizontal="left"/>
    </xf>
    <xf numFmtId="1" fontId="9" fillId="2" borderId="14" xfId="0" applyNumberFormat="1" applyFont="1" applyFill="1" applyBorder="1" applyAlignment="1">
      <alignment horizontal="left"/>
    </xf>
    <xf numFmtId="1" fontId="9" fillId="2" borderId="15" xfId="0" applyNumberFormat="1" applyFont="1" applyFill="1" applyBorder="1" applyAlignment="1">
      <alignment horizontal="center"/>
    </xf>
    <xf numFmtId="1" fontId="8" fillId="2" borderId="15" xfId="0" applyNumberFormat="1" applyFont="1" applyFill="1" applyBorder="1" applyAlignment="1">
      <alignment horizontal="center"/>
    </xf>
    <xf numFmtId="49" fontId="8" fillId="2" borderId="16" xfId="0" applyNumberFormat="1" applyFont="1" applyFill="1" applyBorder="1" applyAlignment="1">
      <alignment/>
    </xf>
    <xf numFmtId="3" fontId="9" fillId="6" borderId="0" xfId="0" applyNumberFormat="1" applyFont="1" applyFill="1" applyBorder="1" applyAlignment="1">
      <alignment horizontal="center"/>
    </xf>
    <xf numFmtId="49" fontId="8" fillId="2" borderId="17" xfId="0" applyNumberFormat="1" applyFont="1" applyFill="1" applyBorder="1" applyAlignment="1">
      <alignment horizontal="center"/>
    </xf>
    <xf numFmtId="1" fontId="9" fillId="7" borderId="0" xfId="0" applyNumberFormat="1" applyFont="1" applyFill="1" applyBorder="1" applyAlignment="1">
      <alignment horizontal="center"/>
    </xf>
    <xf numFmtId="1" fontId="8" fillId="2" borderId="18" xfId="0" applyNumberFormat="1" applyFont="1" applyFill="1" applyBorder="1" applyAlignment="1">
      <alignment/>
    </xf>
    <xf numFmtId="1" fontId="9" fillId="6" borderId="0" xfId="0" applyNumberFormat="1" applyFont="1" applyFill="1" applyBorder="1" applyAlignment="1">
      <alignment horizontal="center"/>
    </xf>
    <xf numFmtId="1" fontId="9" fillId="2" borderId="18" xfId="0" applyNumberFormat="1" applyFont="1" applyFill="1" applyBorder="1" applyAlignment="1">
      <alignment/>
    </xf>
    <xf numFmtId="60" fontId="9" fillId="7" borderId="0" xfId="0" applyNumberFormat="1" applyFont="1" applyFill="1" applyBorder="1" applyAlignment="1">
      <alignment horizontal="center"/>
    </xf>
    <xf numFmtId="1" fontId="9" fillId="7" borderId="19" xfId="0" applyNumberFormat="1" applyFont="1" applyFill="1" applyBorder="1" applyAlignment="1">
      <alignment horizontal="center"/>
    </xf>
    <xf numFmtId="1" fontId="9" fillId="2" borderId="20" xfId="0" applyNumberFormat="1" applyFont="1" applyFill="1" applyBorder="1" applyAlignment="1">
      <alignment/>
    </xf>
    <xf numFmtId="59" fontId="9" fillId="6" borderId="0" xfId="0" applyNumberFormat="1" applyFont="1" applyFill="1" applyBorder="1" applyAlignment="1">
      <alignment horizontal="center"/>
    </xf>
    <xf numFmtId="49" fontId="9" fillId="2" borderId="21" xfId="0" applyNumberFormat="1" applyFont="1" applyFill="1" applyBorder="1" applyAlignment="1">
      <alignment horizontal="center"/>
    </xf>
    <xf numFmtId="1" fontId="9" fillId="8" borderId="22" xfId="0" applyNumberFormat="1" applyFont="1" applyFill="1" applyBorder="1" applyAlignment="1">
      <alignment horizontal="center"/>
    </xf>
    <xf numFmtId="49" fontId="9" fillId="9" borderId="23" xfId="0" applyNumberFormat="1" applyFont="1" applyFill="1" applyBorder="1" applyAlignment="1">
      <alignment horizontal="center"/>
    </xf>
    <xf numFmtId="1" fontId="9" fillId="2" borderId="18" xfId="0" applyNumberFormat="1" applyFont="1" applyFill="1" applyBorder="1" applyAlignment="1">
      <alignment horizontal="center"/>
    </xf>
    <xf numFmtId="1" fontId="9" fillId="2" borderId="24" xfId="0" applyNumberFormat="1" applyFont="1" applyFill="1" applyBorder="1" applyAlignment="1">
      <alignment horizontal="center"/>
    </xf>
    <xf numFmtId="1" fontId="9" fillId="2" borderId="25" xfId="0" applyNumberFormat="1" applyFont="1" applyFill="1" applyBorder="1" applyAlignment="1">
      <alignment horizontal="center"/>
    </xf>
    <xf numFmtId="49" fontId="9" fillId="9" borderId="0" xfId="0" applyNumberFormat="1" applyFont="1" applyFill="1" applyBorder="1" applyAlignment="1">
      <alignment horizontal="center"/>
    </xf>
    <xf numFmtId="49" fontId="8" fillId="2" borderId="16" xfId="0" applyNumberFormat="1" applyFont="1" applyFill="1" applyBorder="1" applyAlignment="1">
      <alignment horizontal="center"/>
    </xf>
    <xf numFmtId="3" fontId="9" fillId="7" borderId="0" xfId="0" applyNumberFormat="1" applyFont="1" applyFill="1" applyBorder="1" applyAlignment="1">
      <alignment horizontal="center"/>
    </xf>
    <xf numFmtId="1" fontId="8" fillId="2" borderId="26" xfId="0" applyNumberFormat="1" applyFont="1" applyFill="1" applyBorder="1" applyAlignment="1">
      <alignment/>
    </xf>
    <xf numFmtId="3" fontId="9" fillId="2" borderId="27" xfId="0" applyNumberFormat="1" applyFont="1" applyFill="1" applyBorder="1" applyAlignment="1">
      <alignment horizontal="center"/>
    </xf>
    <xf numFmtId="1" fontId="8" fillId="2" borderId="15" xfId="0" applyNumberFormat="1" applyFont="1" applyFill="1" applyBorder="1" applyAlignment="1">
      <alignment/>
    </xf>
    <xf numFmtId="49" fontId="9" fillId="2" borderId="28" xfId="0" applyNumberFormat="1" applyFont="1" applyFill="1" applyBorder="1" applyAlignment="1">
      <alignment horizontal="center"/>
    </xf>
    <xf numFmtId="3" fontId="9" fillId="8" borderId="22" xfId="0" applyNumberFormat="1" applyFont="1" applyFill="1" applyBorder="1" applyAlignment="1">
      <alignment horizontal="center"/>
    </xf>
    <xf numFmtId="3" fontId="9" fillId="2" borderId="18" xfId="0" applyNumberFormat="1" applyFont="1" applyFill="1" applyBorder="1" applyAlignment="1">
      <alignment horizontal="center"/>
    </xf>
    <xf numFmtId="1" fontId="8" fillId="2" borderId="29" xfId="0" applyNumberFormat="1" applyFont="1" applyFill="1" applyBorder="1" applyAlignment="1">
      <alignment horizontal="center"/>
    </xf>
    <xf numFmtId="1" fontId="8" fillId="2" borderId="24" xfId="0" applyNumberFormat="1" applyFont="1" applyFill="1" applyBorder="1" applyAlignment="1">
      <alignment/>
    </xf>
    <xf numFmtId="49" fontId="9" fillId="2" borderId="14" xfId="0" applyNumberFormat="1" applyFont="1" applyFill="1" applyBorder="1" applyAlignment="1">
      <alignment/>
    </xf>
    <xf numFmtId="1" fontId="8" fillId="2" borderId="27" xfId="0" applyNumberFormat="1" applyFont="1" applyFill="1" applyBorder="1" applyAlignment="1">
      <alignment horizontal="center"/>
    </xf>
    <xf numFmtId="61" fontId="9" fillId="8" borderId="22" xfId="0" applyNumberFormat="1" applyFont="1" applyFill="1" applyBorder="1" applyAlignment="1">
      <alignment horizontal="center"/>
    </xf>
    <xf numFmtId="3" fontId="9" fillId="2" borderId="25" xfId="0" applyNumberFormat="1" applyFont="1" applyFill="1" applyBorder="1" applyAlignment="1">
      <alignment horizontal="center"/>
    </xf>
    <xf numFmtId="2" fontId="9" fillId="7" borderId="30" xfId="0" applyNumberFormat="1" applyFont="1" applyFill="1" applyBorder="1" applyAlignment="1">
      <alignment horizontal="center"/>
    </xf>
    <xf numFmtId="49" fontId="13" fillId="2" borderId="14" xfId="0" applyNumberFormat="1" applyFont="1" applyFill="1" applyBorder="1" applyAlignment="1">
      <alignment horizontal="left"/>
    </xf>
    <xf numFmtId="1" fontId="13" fillId="2" borderId="14" xfId="0" applyNumberFormat="1" applyFont="1" applyFill="1" applyBorder="1" applyAlignment="1">
      <alignment horizontal="left"/>
    </xf>
    <xf numFmtId="49" fontId="14" fillId="2" borderId="14" xfId="0" applyNumberFormat="1" applyFont="1" applyFill="1" applyBorder="1" applyAlignment="1">
      <alignment horizontal="center"/>
    </xf>
    <xf numFmtId="1" fontId="14" fillId="2" borderId="14" xfId="0" applyNumberFormat="1" applyFont="1" applyFill="1" applyBorder="1" applyAlignment="1">
      <alignment horizontal="center"/>
    </xf>
    <xf numFmtId="1" fontId="14" fillId="2" borderId="14" xfId="0" applyNumberFormat="1" applyFont="1" applyFill="1" applyBorder="1" applyAlignment="1">
      <alignment/>
    </xf>
    <xf numFmtId="1" fontId="15" fillId="2" borderId="14" xfId="0" applyNumberFormat="1" applyFont="1" applyFill="1" applyBorder="1" applyAlignment="1">
      <alignment/>
    </xf>
    <xf numFmtId="1" fontId="16" fillId="2" borderId="14" xfId="0" applyNumberFormat="1" applyFont="1" applyFill="1" applyBorder="1" applyAlignment="1">
      <alignment/>
    </xf>
    <xf numFmtId="49" fontId="8" fillId="2" borderId="14" xfId="0" applyNumberFormat="1" applyFont="1" applyFill="1" applyBorder="1" applyAlignment="1">
      <alignment/>
    </xf>
    <xf numFmtId="59" fontId="9" fillId="2" borderId="14" xfId="0" applyNumberFormat="1" applyFont="1" applyFill="1" applyBorder="1" applyAlignment="1">
      <alignment horizontal="center"/>
    </xf>
    <xf numFmtId="59" fontId="9" fillId="2" borderId="15" xfId="0" applyNumberFormat="1" applyFont="1" applyFill="1" applyBorder="1" applyAlignment="1">
      <alignment horizontal="center"/>
    </xf>
    <xf numFmtId="1" fontId="8" fillId="2" borderId="24" xfId="0" applyNumberFormat="1" applyFont="1" applyFill="1" applyBorder="1" applyAlignment="1">
      <alignment horizontal="center"/>
    </xf>
    <xf numFmtId="1" fontId="8" fillId="2" borderId="31" xfId="0" applyNumberFormat="1" applyFont="1" applyFill="1" applyBorder="1" applyAlignment="1">
      <alignment horizontal="center"/>
    </xf>
    <xf numFmtId="1" fontId="8" fillId="2" borderId="31" xfId="0" applyNumberFormat="1" applyFont="1" applyFill="1" applyBorder="1" applyAlignment="1">
      <alignment/>
    </xf>
    <xf numFmtId="59" fontId="9" fillId="8" borderId="22" xfId="0" applyNumberFormat="1" applyFont="1" applyFill="1" applyBorder="1" applyAlignment="1">
      <alignment horizontal="center"/>
    </xf>
    <xf numFmtId="1" fontId="9" fillId="9" borderId="32" xfId="0" applyNumberFormat="1" applyFont="1" applyFill="1" applyBorder="1" applyAlignment="1">
      <alignment horizontal="center"/>
    </xf>
    <xf numFmtId="1" fontId="8" fillId="2" borderId="33" xfId="0" applyNumberFormat="1" applyFont="1" applyFill="1" applyBorder="1" applyAlignment="1">
      <alignment/>
    </xf>
    <xf numFmtId="1" fontId="8" fillId="2" borderId="34" xfId="0" applyNumberFormat="1" applyFont="1" applyFill="1" applyBorder="1" applyAlignment="1">
      <alignment/>
    </xf>
    <xf numFmtId="59" fontId="9" fillId="7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BFBFBF"/>
      <rgbColor rgb="00E6E9EC"/>
      <rgbColor rgb="0098B7FE"/>
      <rgbColor rgb="0064AA51"/>
      <rgbColor rgb="007FC8ED"/>
      <rgbColor rgb="00C0C0C0"/>
      <rgbColor rgb="001FB714"/>
      <rgbColor rgb="00FCF305"/>
      <rgbColor rgb="00CC99FF"/>
      <rgbColor rgb="00FF99CC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0</xdr:rowOff>
    </xdr:from>
    <xdr:to>
      <xdr:col>1</xdr:col>
      <xdr:colOff>2047875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209550"/>
          <a:ext cx="2028825" cy="164782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showGridLines="0" tabSelected="1" workbookViewId="0" topLeftCell="A1">
      <selection activeCell="A1" sqref="A1"/>
    </sheetView>
  </sheetViews>
  <sheetFormatPr defaultColWidth="10.3984375" defaultRowHeight="19.5" customHeight="1"/>
  <cols>
    <col min="1" max="1" width="8.796875" style="1" customWidth="1"/>
    <col min="2" max="2" width="75.8984375" style="1" customWidth="1"/>
    <col min="3" max="3" width="10.19921875" style="1" customWidth="1"/>
    <col min="4" max="4" width="144" style="1" customWidth="1"/>
    <col min="5" max="5" width="10.296875" style="1" customWidth="1"/>
    <col min="6" max="256" width="9.796875" style="1" customWidth="1"/>
  </cols>
  <sheetData>
    <row r="1" spans="1:5" ht="16.5" customHeight="1">
      <c r="A1" s="2"/>
      <c r="B1" s="3"/>
      <c r="C1" s="3"/>
      <c r="D1" s="3"/>
      <c r="E1" s="4"/>
    </row>
    <row r="2" spans="1:5" ht="129.75" customHeight="1">
      <c r="A2" s="5"/>
      <c r="B2" s="6" t="s">
        <v>0</v>
      </c>
      <c r="C2" s="7"/>
      <c r="D2" s="7"/>
      <c r="E2" s="8"/>
    </row>
    <row r="3" spans="1:5" ht="21.75" customHeight="1">
      <c r="A3" s="5"/>
      <c r="B3" s="9" t="s">
        <v>1</v>
      </c>
      <c r="C3" s="10"/>
      <c r="D3" s="10"/>
      <c r="E3" s="8"/>
    </row>
    <row r="4" spans="1:5" ht="24" customHeight="1">
      <c r="A4" s="5"/>
      <c r="B4" s="11" t="s">
        <v>2</v>
      </c>
      <c r="C4" s="12"/>
      <c r="D4" s="13" t="s">
        <v>3</v>
      </c>
      <c r="E4" s="8"/>
    </row>
    <row r="5" spans="1:5" ht="43.5" customHeight="1">
      <c r="A5" s="5"/>
      <c r="B5" s="14" t="s">
        <v>4</v>
      </c>
      <c r="C5" s="15">
        <v>800</v>
      </c>
      <c r="D5" s="16" t="s">
        <v>5</v>
      </c>
      <c r="E5" s="8"/>
    </row>
    <row r="6" spans="1:5" ht="43.5" customHeight="1">
      <c r="A6" s="5"/>
      <c r="B6" s="17" t="s">
        <v>6</v>
      </c>
      <c r="C6" s="18">
        <v>11</v>
      </c>
      <c r="D6" s="19" t="s">
        <v>7</v>
      </c>
      <c r="E6" s="8"/>
    </row>
    <row r="7" spans="1:5" ht="43.5" customHeight="1">
      <c r="A7" s="5"/>
      <c r="B7" s="20" t="s">
        <v>8</v>
      </c>
      <c r="C7" s="21">
        <v>1.5</v>
      </c>
      <c r="D7" s="22" t="s">
        <v>9</v>
      </c>
      <c r="E7" s="8"/>
    </row>
    <row r="8" spans="1:5" ht="43.5" customHeight="1">
      <c r="A8" s="5"/>
      <c r="B8" s="17" t="s">
        <v>10</v>
      </c>
      <c r="C8" s="18">
        <v>32</v>
      </c>
      <c r="D8" s="19" t="s">
        <v>11</v>
      </c>
      <c r="E8" s="8"/>
    </row>
    <row r="9" spans="1:5" ht="43.5" customHeight="1">
      <c r="A9" s="5"/>
      <c r="B9" s="20" t="s">
        <v>12</v>
      </c>
      <c r="C9" s="18">
        <v>1000</v>
      </c>
      <c r="D9" s="22" t="s">
        <v>13</v>
      </c>
      <c r="E9" s="8"/>
    </row>
    <row r="10" spans="1:5" ht="21" customHeight="1">
      <c r="A10" s="5"/>
      <c r="B10" s="23" t="s">
        <v>14</v>
      </c>
      <c r="C10" s="24"/>
      <c r="D10" s="24"/>
      <c r="E10" s="8"/>
    </row>
    <row r="11" spans="1:5" ht="43.5" customHeight="1">
      <c r="A11" s="5"/>
      <c r="B11" s="20" t="s">
        <v>15</v>
      </c>
      <c r="C11" s="25">
        <f>'Basic Calculation Sheet - Table'!E17/2</f>
        <v>205.92000000000004</v>
      </c>
      <c r="D11" s="26" t="s">
        <v>16</v>
      </c>
      <c r="E11" s="8"/>
    </row>
    <row r="12" spans="1:5" ht="43.5" customHeight="1">
      <c r="A12" s="5"/>
      <c r="B12" s="17" t="s">
        <v>17</v>
      </c>
      <c r="C12" s="27">
        <f>'Basic Calculation Sheet - Table'!E25/2</f>
        <v>2.640019735387495</v>
      </c>
      <c r="D12" s="19" t="s">
        <v>18</v>
      </c>
      <c r="E12" s="8"/>
    </row>
    <row r="13" spans="1:5" ht="43.5" customHeight="1">
      <c r="A13" s="5"/>
      <c r="B13" s="20" t="s">
        <v>19</v>
      </c>
      <c r="C13" s="27">
        <f>'Basic Calculation Sheet - Table'!E49/2</f>
        <v>2.75</v>
      </c>
      <c r="D13" s="22" t="s">
        <v>20</v>
      </c>
      <c r="E13" s="8"/>
    </row>
    <row r="14" spans="1:5" ht="43.5" customHeight="1">
      <c r="A14" s="28"/>
      <c r="B14" s="17" t="s">
        <v>21</v>
      </c>
      <c r="C14" s="27">
        <f>'Basic Calculation Sheet - Table'!G49/2</f>
        <v>6.947368421052632</v>
      </c>
      <c r="D14" s="19" t="s">
        <v>22</v>
      </c>
      <c r="E14" s="29"/>
    </row>
  </sheetData>
  <mergeCells count="2">
    <mergeCell ref="B3:D3"/>
    <mergeCell ref="B2:D2"/>
  </mergeCells>
  <printOptions/>
  <pageMargins left="0.7875000238418579" right="0.7875000238418579" top="0.9840277433395386" bottom="0.9840277433395386" header="0.511805534362793" footer="0.511805534362793"/>
  <pageSetup horizontalDpi="300" verticalDpi="300" orientation="portrait" paperSize="9"/>
  <headerFooter alignWithMargins="0">
    <oddFooter>&amp;C&amp;"Helvetica,Regular"&amp;12&amp;K000000&amp;P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showGridLines="0" workbookViewId="0" topLeftCell="A1">
      <selection activeCell="A1" sqref="A1"/>
    </sheetView>
  </sheetViews>
  <sheetFormatPr defaultColWidth="10.3984375" defaultRowHeight="19.5" customHeight="1"/>
  <cols>
    <col min="1" max="1" width="2.296875" style="30" customWidth="1"/>
    <col min="2" max="2" width="31.5" style="30" customWidth="1"/>
    <col min="3" max="3" width="6.5" style="30" customWidth="1"/>
    <col min="4" max="4" width="25.296875" style="30" customWidth="1"/>
    <col min="5" max="5" width="6.5" style="30" customWidth="1"/>
    <col min="6" max="6" width="33.5" style="30" customWidth="1"/>
    <col min="7" max="7" width="7.796875" style="30" customWidth="1"/>
    <col min="8" max="8" width="23.296875" style="30" customWidth="1"/>
    <col min="9" max="9" width="7.796875" style="30" customWidth="1"/>
    <col min="10" max="10" width="23.5" style="30" customWidth="1"/>
    <col min="11" max="11" width="7.796875" style="30" customWidth="1"/>
    <col min="12" max="256" width="9.796875" style="30" customWidth="1"/>
  </cols>
  <sheetData>
    <row r="1" spans="1:11" ht="12.75" customHeight="1">
      <c r="A1" s="31"/>
      <c r="B1" s="31"/>
      <c r="C1" s="32"/>
      <c r="D1" s="31"/>
      <c r="E1" s="31"/>
      <c r="F1" s="31"/>
      <c r="G1" s="31"/>
      <c r="H1" s="31"/>
      <c r="I1" s="33"/>
      <c r="J1" s="33"/>
      <c r="K1" s="33"/>
    </row>
    <row r="2" spans="1:11" ht="21" customHeight="1">
      <c r="A2" s="31"/>
      <c r="B2" s="34" t="s">
        <v>23</v>
      </c>
      <c r="C2" s="35"/>
      <c r="D2" s="35"/>
      <c r="E2" s="35"/>
      <c r="F2" s="35"/>
      <c r="G2" s="31"/>
      <c r="H2" s="31"/>
      <c r="I2" s="33"/>
      <c r="J2" s="33"/>
      <c r="K2" s="33"/>
    </row>
    <row r="3" spans="1:11" ht="12.75" customHeight="1">
      <c r="A3" s="31"/>
      <c r="B3" s="36" t="s">
        <v>24</v>
      </c>
      <c r="C3" s="37"/>
      <c r="D3" s="37"/>
      <c r="E3" s="37"/>
      <c r="F3" s="37"/>
      <c r="G3" s="31"/>
      <c r="H3" s="31"/>
      <c r="I3" s="33"/>
      <c r="J3" s="33"/>
      <c r="K3" s="33"/>
    </row>
    <row r="4" spans="1:11" ht="12.75" customHeight="1">
      <c r="A4" s="31"/>
      <c r="B4" s="31"/>
      <c r="C4" s="32"/>
      <c r="D4" s="31"/>
      <c r="E4" s="31"/>
      <c r="F4" s="31"/>
      <c r="G4" s="31"/>
      <c r="H4" s="31"/>
      <c r="I4" s="33"/>
      <c r="J4" s="33"/>
      <c r="K4" s="33"/>
    </row>
    <row r="5" spans="1:11" ht="12.75" customHeight="1">
      <c r="A5" s="31"/>
      <c r="B5" s="38" t="s">
        <v>25</v>
      </c>
      <c r="C5" s="39"/>
      <c r="D5" s="31"/>
      <c r="E5" s="31"/>
      <c r="F5" s="31"/>
      <c r="G5" s="31"/>
      <c r="H5" s="31"/>
      <c r="I5" s="33"/>
      <c r="J5" s="33"/>
      <c r="K5" s="33"/>
    </row>
    <row r="6" spans="1:11" ht="12.75" customHeight="1">
      <c r="A6" s="31"/>
      <c r="B6" s="31"/>
      <c r="C6" s="32"/>
      <c r="D6" s="31"/>
      <c r="E6" s="31"/>
      <c r="F6" s="31"/>
      <c r="G6" s="31"/>
      <c r="H6" s="31"/>
      <c r="I6" s="33"/>
      <c r="J6" s="33"/>
      <c r="K6" s="33"/>
    </row>
    <row r="7" spans="1:11" ht="12.75" customHeight="1">
      <c r="A7" s="31"/>
      <c r="B7" s="36" t="s">
        <v>26</v>
      </c>
      <c r="C7" s="32"/>
      <c r="D7" s="36" t="s">
        <v>27</v>
      </c>
      <c r="E7" s="31"/>
      <c r="F7" s="36" t="s">
        <v>28</v>
      </c>
      <c r="G7" s="31"/>
      <c r="H7" s="31"/>
      <c r="I7" s="31"/>
      <c r="J7" s="31"/>
      <c r="K7" s="31"/>
    </row>
    <row r="8" spans="1:11" ht="12.75" customHeight="1">
      <c r="A8" s="31"/>
      <c r="B8" s="31"/>
      <c r="C8" s="40"/>
      <c r="D8" s="33"/>
      <c r="E8" s="41"/>
      <c r="F8" s="31"/>
      <c r="G8" s="31"/>
      <c r="H8" s="31"/>
      <c r="I8" s="31"/>
      <c r="J8" s="31"/>
      <c r="K8" s="31"/>
    </row>
    <row r="9" spans="1:11" ht="15" customHeight="1">
      <c r="A9" s="31"/>
      <c r="B9" s="42" t="s">
        <v>29</v>
      </c>
      <c r="C9" s="43">
        <f>'En francais'!C5</f>
        <v>800</v>
      </c>
      <c r="D9" s="44" t="s">
        <v>30</v>
      </c>
      <c r="E9" s="45">
        <f>C9/1000</f>
        <v>0.8</v>
      </c>
      <c r="F9" s="46"/>
      <c r="G9" s="31"/>
      <c r="H9" s="31"/>
      <c r="I9" s="31"/>
      <c r="J9" s="31"/>
      <c r="K9" s="31"/>
    </row>
    <row r="10" spans="1:11" ht="15" customHeight="1">
      <c r="A10" s="31"/>
      <c r="B10" s="42" t="s">
        <v>31</v>
      </c>
      <c r="C10" s="47">
        <f>'En francais'!C6*2</f>
        <v>22</v>
      </c>
      <c r="D10" s="44" t="s">
        <v>32</v>
      </c>
      <c r="E10" s="45">
        <f>E9*C10</f>
        <v>17.6</v>
      </c>
      <c r="F10" s="48"/>
      <c r="G10" s="37"/>
      <c r="H10" s="31"/>
      <c r="I10" s="31"/>
      <c r="J10" s="31"/>
      <c r="K10" s="31"/>
    </row>
    <row r="11" spans="1:11" ht="12.75" customHeight="1">
      <c r="A11" s="31"/>
      <c r="B11" s="42" t="s">
        <v>33</v>
      </c>
      <c r="C11" s="47">
        <f>'En francais'!C7</f>
        <v>1.5</v>
      </c>
      <c r="D11" s="44" t="s">
        <v>34</v>
      </c>
      <c r="E11" s="49">
        <f>0.065*E12*(C12/100)*0.9*1000000/C9</f>
        <v>6.177600000000001</v>
      </c>
      <c r="F11" s="46"/>
      <c r="G11" s="31"/>
      <c r="H11" s="31"/>
      <c r="I11" s="31"/>
      <c r="J11" s="31"/>
      <c r="K11" s="31"/>
    </row>
    <row r="12" spans="1:11" ht="12" customHeight="1">
      <c r="A12" s="31"/>
      <c r="B12" s="42" t="s">
        <v>35</v>
      </c>
      <c r="C12" s="47">
        <f>'En francais'!C8</f>
        <v>32</v>
      </c>
      <c r="D12" s="44" t="s">
        <v>36</v>
      </c>
      <c r="E12" s="50">
        <f>E10*C11/100</f>
        <v>0.264</v>
      </c>
      <c r="F12" s="51"/>
      <c r="G12" s="37"/>
      <c r="H12" s="31"/>
      <c r="I12" s="31"/>
      <c r="J12" s="31"/>
      <c r="K12" s="31"/>
    </row>
    <row r="13" spans="1:11" ht="15" customHeight="1">
      <c r="A13" s="31"/>
      <c r="B13" s="42" t="s">
        <v>37</v>
      </c>
      <c r="C13" s="52">
        <f>'En francais'!C9</f>
        <v>1000</v>
      </c>
      <c r="D13" s="53" t="s">
        <v>38</v>
      </c>
      <c r="E13" s="54">
        <f>(E11/(0.5/1000000)/(1000000/C9)/C13)</f>
        <v>9.884160000000001</v>
      </c>
      <c r="F13" s="55" t="s">
        <v>39</v>
      </c>
      <c r="G13" s="56"/>
      <c r="H13" s="31"/>
      <c r="I13" s="31"/>
      <c r="J13" s="31"/>
      <c r="K13" s="31"/>
    </row>
    <row r="14" spans="1:11" ht="12" customHeight="1">
      <c r="A14" s="31"/>
      <c r="B14" s="31"/>
      <c r="C14" s="57"/>
      <c r="D14" s="33"/>
      <c r="E14" s="58"/>
      <c r="F14" s="59" t="s">
        <v>40</v>
      </c>
      <c r="G14" s="56"/>
      <c r="H14" s="31"/>
      <c r="I14" s="31"/>
      <c r="J14" s="31"/>
      <c r="K14" s="31"/>
    </row>
    <row r="15" spans="1:11" ht="12.75" customHeight="1">
      <c r="A15" s="31"/>
      <c r="B15" s="31"/>
      <c r="C15" s="32"/>
      <c r="D15" s="60" t="s">
        <v>41</v>
      </c>
      <c r="E15" s="61">
        <f>E11/(1000000/C9)/(0.5*(1/1000000))</f>
        <v>9884.160000000002</v>
      </c>
      <c r="F15" s="62"/>
      <c r="G15" s="31"/>
      <c r="H15" s="31"/>
      <c r="I15" s="31"/>
      <c r="J15" s="31"/>
      <c r="K15" s="31"/>
    </row>
    <row r="16" spans="1:11" ht="12" customHeight="1">
      <c r="A16" s="31"/>
      <c r="B16" s="31"/>
      <c r="C16" s="32"/>
      <c r="D16" s="33"/>
      <c r="E16" s="63"/>
      <c r="F16" s="64"/>
      <c r="G16" s="31"/>
      <c r="H16" s="31"/>
      <c r="I16" s="31"/>
      <c r="J16" s="31"/>
      <c r="K16" s="31"/>
    </row>
    <row r="17" spans="1:11" ht="12.75" customHeight="1">
      <c r="A17" s="31"/>
      <c r="B17" s="31"/>
      <c r="C17" s="37"/>
      <c r="D17" s="65" t="s">
        <v>42</v>
      </c>
      <c r="E17" s="66">
        <f>E15/24</f>
        <v>411.8400000000001</v>
      </c>
      <c r="F17" s="55" t="s">
        <v>43</v>
      </c>
      <c r="G17" s="67"/>
      <c r="H17" s="31"/>
      <c r="I17" s="31"/>
      <c r="J17" s="31"/>
      <c r="K17" s="31"/>
    </row>
    <row r="18" spans="1:11" ht="12" customHeight="1">
      <c r="A18" s="31"/>
      <c r="B18" s="31"/>
      <c r="C18" s="37"/>
      <c r="D18" s="33"/>
      <c r="E18" s="68"/>
      <c r="F18" s="59" t="s">
        <v>44</v>
      </c>
      <c r="G18" s="46"/>
      <c r="H18" s="31"/>
      <c r="I18" s="31"/>
      <c r="J18" s="31"/>
      <c r="K18" s="31"/>
    </row>
    <row r="19" spans="1:11" ht="12.75" customHeight="1">
      <c r="A19" s="31"/>
      <c r="B19" s="31"/>
      <c r="C19" s="37"/>
      <c r="D19" s="33"/>
      <c r="E19" s="33"/>
      <c r="F19" s="69"/>
      <c r="G19" s="31"/>
      <c r="H19" s="31"/>
      <c r="I19" s="31"/>
      <c r="J19" s="31"/>
      <c r="K19" s="31"/>
    </row>
    <row r="20" spans="1:11" ht="12.75" customHeight="1">
      <c r="A20" s="31"/>
      <c r="B20" s="70" t="s">
        <v>45</v>
      </c>
      <c r="C20" s="37"/>
      <c r="D20" s="33"/>
      <c r="E20" s="33"/>
      <c r="F20" s="31"/>
      <c r="G20" s="31"/>
      <c r="H20" s="31"/>
      <c r="I20" s="31"/>
      <c r="J20" s="31"/>
      <c r="K20" s="31"/>
    </row>
    <row r="21" spans="1:11" ht="12.75" customHeight="1">
      <c r="A21" s="31"/>
      <c r="B21" s="31"/>
      <c r="C21" s="40"/>
      <c r="D21" s="33"/>
      <c r="E21" s="41"/>
      <c r="F21" s="31"/>
      <c r="G21" s="31"/>
      <c r="H21" s="31"/>
      <c r="I21" s="31"/>
      <c r="J21" s="31"/>
      <c r="K21" s="31"/>
    </row>
    <row r="22" spans="1:11" ht="12.75" customHeight="1">
      <c r="A22" s="31"/>
      <c r="B22" s="42" t="s">
        <v>46</v>
      </c>
      <c r="C22" s="45">
        <v>25</v>
      </c>
      <c r="D22" s="44" t="s">
        <v>47</v>
      </c>
      <c r="E22" s="45">
        <f>E12*0.25</f>
        <v>0.066</v>
      </c>
      <c r="F22" s="46"/>
      <c r="G22" s="31"/>
      <c r="H22" s="31"/>
      <c r="I22" s="31"/>
      <c r="J22" s="31"/>
      <c r="K22" s="31"/>
    </row>
    <row r="23" spans="1:11" ht="12.75" customHeight="1">
      <c r="A23" s="31"/>
      <c r="B23" s="31"/>
      <c r="C23" s="57"/>
      <c r="D23" s="60" t="s">
        <v>48</v>
      </c>
      <c r="E23" s="45">
        <f>E22/C9*1000000</f>
        <v>82.5</v>
      </c>
      <c r="F23" s="46"/>
      <c r="G23" s="31"/>
      <c r="H23" s="31"/>
      <c r="I23" s="31"/>
      <c r="J23" s="31"/>
      <c r="K23" s="31"/>
    </row>
    <row r="24" spans="1:11" ht="12" customHeight="1">
      <c r="A24" s="31"/>
      <c r="B24" s="31"/>
      <c r="C24" s="37"/>
      <c r="D24" s="33"/>
      <c r="E24" s="71"/>
      <c r="F24" s="64"/>
      <c r="G24" s="31"/>
      <c r="H24" s="31"/>
      <c r="I24" s="31"/>
      <c r="J24" s="31"/>
      <c r="K24" s="31"/>
    </row>
    <row r="25" spans="1:11" ht="15" customHeight="1">
      <c r="A25" s="31"/>
      <c r="B25" s="31"/>
      <c r="C25" s="37"/>
      <c r="D25" s="65" t="s">
        <v>49</v>
      </c>
      <c r="E25" s="72">
        <f>2.5*10000*(0.0365*(E15/1000)/3000)*E31</f>
        <v>5.28003947077499</v>
      </c>
      <c r="F25" s="55" t="s">
        <v>50</v>
      </c>
      <c r="G25" s="46"/>
      <c r="H25" s="31"/>
      <c r="I25" s="31"/>
      <c r="J25" s="31"/>
      <c r="K25" s="31"/>
    </row>
    <row r="26" spans="1:11" ht="12" customHeight="1">
      <c r="A26" s="31"/>
      <c r="B26" s="31"/>
      <c r="C26" s="37"/>
      <c r="D26" s="37"/>
      <c r="E26" s="73"/>
      <c r="F26" s="59" t="s">
        <v>51</v>
      </c>
      <c r="G26" s="46"/>
      <c r="H26" s="31"/>
      <c r="I26" s="31"/>
      <c r="J26" s="31"/>
      <c r="K26" s="31"/>
    </row>
    <row r="27" spans="1:11" ht="12.75" customHeight="1">
      <c r="A27" s="31"/>
      <c r="B27" s="31"/>
      <c r="C27" s="37"/>
      <c r="D27" s="60" t="s">
        <v>52</v>
      </c>
      <c r="E27" s="74">
        <f>(E13/1000)/E25</f>
        <v>0.0018719860059207532</v>
      </c>
      <c r="F27" s="62"/>
      <c r="G27" s="31"/>
      <c r="H27" s="31"/>
      <c r="I27" s="31"/>
      <c r="J27" s="31"/>
      <c r="K27" s="31"/>
    </row>
    <row r="28" spans="1:11" ht="12.75" customHeight="1">
      <c r="A28" s="31"/>
      <c r="B28" s="31"/>
      <c r="C28" s="75" t="s">
        <v>53</v>
      </c>
      <c r="D28" s="76"/>
      <c r="E28" s="76"/>
      <c r="F28" s="76"/>
      <c r="G28" s="31"/>
      <c r="H28" s="31"/>
      <c r="I28" s="31"/>
      <c r="J28" s="31"/>
      <c r="K28" s="31"/>
    </row>
    <row r="29" spans="1:11" ht="12.75" customHeight="1">
      <c r="A29" s="31"/>
      <c r="B29" s="31"/>
      <c r="C29" s="37"/>
      <c r="D29" s="33"/>
      <c r="E29" s="33"/>
      <c r="F29" s="31"/>
      <c r="G29" s="31"/>
      <c r="H29" s="31"/>
      <c r="I29" s="31"/>
      <c r="J29" s="31"/>
      <c r="K29" s="31"/>
    </row>
    <row r="30" spans="1:11" ht="12.75" customHeight="1">
      <c r="A30" s="31"/>
      <c r="B30" s="31"/>
      <c r="C30" s="37"/>
      <c r="D30" s="77" t="s">
        <v>54</v>
      </c>
      <c r="E30" s="78">
        <f>7.8+(0.063*E23)</f>
        <v>12.997499999999999</v>
      </c>
      <c r="F30" s="31"/>
      <c r="G30" s="31"/>
      <c r="H30" s="31"/>
      <c r="I30" s="31"/>
      <c r="J30" s="31"/>
      <c r="K30" s="31"/>
    </row>
    <row r="31" spans="1:11" ht="12.75" customHeight="1">
      <c r="A31" s="31"/>
      <c r="B31" s="31"/>
      <c r="C31" s="37"/>
      <c r="D31" s="77" t="s">
        <v>55</v>
      </c>
      <c r="E31" s="79">
        <f>LN((E23-E30)/(C22-E30))</f>
        <v>1.7562477617238605</v>
      </c>
      <c r="F31" s="80"/>
      <c r="G31" s="31"/>
      <c r="H31" s="31"/>
      <c r="I31" s="31"/>
      <c r="J31" s="31"/>
      <c r="K31" s="31"/>
    </row>
    <row r="32" spans="1:11" ht="12.75" customHeight="1">
      <c r="A32" s="31"/>
      <c r="B32" s="31"/>
      <c r="C32" s="37"/>
      <c r="D32" s="33"/>
      <c r="E32" s="33"/>
      <c r="F32" s="31"/>
      <c r="G32" s="31"/>
      <c r="H32" s="31"/>
      <c r="I32" s="31"/>
      <c r="J32" s="31"/>
      <c r="K32" s="31"/>
    </row>
    <row r="33" spans="1:11" ht="12.75" customHeight="1">
      <c r="A33" s="31"/>
      <c r="B33" s="31"/>
      <c r="C33" s="37"/>
      <c r="D33" s="81"/>
      <c r="E33" s="81"/>
      <c r="F33" s="31"/>
      <c r="G33" s="31"/>
      <c r="H33" s="31"/>
      <c r="I33" s="31"/>
      <c r="J33" s="31"/>
      <c r="K33" s="31"/>
    </row>
    <row r="34" spans="1:11" ht="12.75" customHeight="1">
      <c r="A34" s="31"/>
      <c r="B34" s="70" t="s">
        <v>56</v>
      </c>
      <c r="C34" s="37"/>
      <c r="D34" s="33"/>
      <c r="E34" s="33"/>
      <c r="F34" s="31"/>
      <c r="G34" s="31"/>
      <c r="H34" s="31"/>
      <c r="I34" s="31"/>
      <c r="J34" s="31"/>
      <c r="K34" s="31"/>
    </row>
    <row r="35" spans="1:11" ht="12.75" customHeight="1">
      <c r="A35" s="31"/>
      <c r="B35" s="31"/>
      <c r="C35" s="37"/>
      <c r="D35" s="33"/>
      <c r="E35" s="41"/>
      <c r="F35" s="31"/>
      <c r="G35" s="31"/>
      <c r="H35" s="31"/>
      <c r="I35" s="31"/>
      <c r="J35" s="31"/>
      <c r="K35" s="31"/>
    </row>
    <row r="36" spans="1:11" ht="15" customHeight="1">
      <c r="A36" s="31"/>
      <c r="B36" s="82" t="s">
        <v>57</v>
      </c>
      <c r="C36" s="83">
        <f>E49/2</f>
        <v>2.75</v>
      </c>
      <c r="D36" s="60" t="s">
        <v>58</v>
      </c>
      <c r="E36" s="61">
        <f>C36*C37*1000</f>
        <v>825</v>
      </c>
      <c r="F36" s="46"/>
      <c r="G36" s="31"/>
      <c r="H36" s="31"/>
      <c r="I36" s="31"/>
      <c r="J36" s="31"/>
      <c r="K36" s="31"/>
    </row>
    <row r="37" spans="1:11" ht="12.75" customHeight="1">
      <c r="A37" s="31"/>
      <c r="B37" s="82" t="s">
        <v>59</v>
      </c>
      <c r="C37" s="84">
        <f>IF(E27&lt;0.3,0.3,E27)</f>
        <v>0.3</v>
      </c>
      <c r="D37" s="60" t="s">
        <v>60</v>
      </c>
      <c r="E37" s="61">
        <f>E36*C38/100</f>
        <v>288.75</v>
      </c>
      <c r="F37" s="46"/>
      <c r="G37" s="31"/>
      <c r="H37" s="31"/>
      <c r="I37" s="31"/>
      <c r="J37" s="31"/>
      <c r="K37" s="31"/>
    </row>
    <row r="38" spans="1:11" ht="12.75" customHeight="1">
      <c r="A38" s="31"/>
      <c r="B38" s="42" t="s">
        <v>61</v>
      </c>
      <c r="C38" s="47">
        <v>35</v>
      </c>
      <c r="D38" s="44" t="s">
        <v>62</v>
      </c>
      <c r="E38" s="61">
        <f>C9-E37</f>
        <v>511.25</v>
      </c>
      <c r="F38" s="46"/>
      <c r="G38" s="31"/>
      <c r="H38" s="31"/>
      <c r="I38" s="31"/>
      <c r="J38" s="31"/>
      <c r="K38" s="31"/>
    </row>
    <row r="39" spans="1:11" ht="12.75" customHeight="1">
      <c r="A39" s="31"/>
      <c r="B39" s="31"/>
      <c r="C39" s="57"/>
      <c r="D39" s="33"/>
      <c r="E39" s="85"/>
      <c r="F39" s="31"/>
      <c r="G39" s="31"/>
      <c r="H39" s="31"/>
      <c r="I39" s="31"/>
      <c r="J39" s="31"/>
      <c r="K39" s="31"/>
    </row>
    <row r="40" spans="1:11" ht="12.75" customHeight="1">
      <c r="A40" s="31"/>
      <c r="B40" s="31"/>
      <c r="C40" s="37"/>
      <c r="D40" s="31"/>
      <c r="E40" s="31"/>
      <c r="F40" s="31"/>
      <c r="G40" s="31"/>
      <c r="H40" s="31"/>
      <c r="I40" s="31"/>
      <c r="J40" s="31"/>
      <c r="K40" s="31"/>
    </row>
    <row r="41" spans="1:11" ht="12.75" customHeight="1">
      <c r="A41" s="31"/>
      <c r="B41" s="70" t="s">
        <v>63</v>
      </c>
      <c r="C41" s="37"/>
      <c r="D41" s="33"/>
      <c r="E41" s="33"/>
      <c r="F41" s="31"/>
      <c r="G41" s="31"/>
      <c r="H41" s="31"/>
      <c r="I41" s="31"/>
      <c r="J41" s="31"/>
      <c r="K41" s="31"/>
    </row>
    <row r="42" spans="1:11" ht="12" customHeight="1">
      <c r="A42" s="31"/>
      <c r="B42" s="31"/>
      <c r="C42" s="37"/>
      <c r="D42" s="33"/>
      <c r="E42" s="86"/>
      <c r="F42" s="64"/>
      <c r="G42" s="31"/>
      <c r="H42" s="31"/>
      <c r="I42" s="31"/>
      <c r="J42" s="31"/>
      <c r="K42" s="31"/>
    </row>
    <row r="43" spans="1:11" ht="12.75" customHeight="1">
      <c r="A43" s="31"/>
      <c r="B43" s="31"/>
      <c r="C43" s="37"/>
      <c r="D43" s="65" t="s">
        <v>64</v>
      </c>
      <c r="E43" s="66">
        <f>(C9+E37)</f>
        <v>1088.75</v>
      </c>
      <c r="F43" s="55" t="s">
        <v>65</v>
      </c>
      <c r="G43" s="46"/>
      <c r="H43" s="31"/>
      <c r="I43" s="31"/>
      <c r="J43" s="31"/>
      <c r="K43" s="31"/>
    </row>
    <row r="44" spans="1:11" ht="12" customHeight="1">
      <c r="A44" s="31"/>
      <c r="B44" s="31"/>
      <c r="C44" s="37"/>
      <c r="D44" s="33"/>
      <c r="E44" s="68"/>
      <c r="F44" s="59" t="s">
        <v>66</v>
      </c>
      <c r="G44" s="46"/>
      <c r="H44" s="31"/>
      <c r="I44" s="31"/>
      <c r="J44" s="31"/>
      <c r="K44" s="31"/>
    </row>
    <row r="45" spans="1:11" ht="12.75" customHeight="1">
      <c r="A45" s="31"/>
      <c r="B45" s="31"/>
      <c r="C45" s="37"/>
      <c r="D45" s="33"/>
      <c r="E45" s="33"/>
      <c r="F45" s="69"/>
      <c r="G45" s="31"/>
      <c r="H45" s="31"/>
      <c r="I45" s="31"/>
      <c r="J45" s="31"/>
      <c r="K45" s="31"/>
    </row>
    <row r="46" spans="1:11" ht="12.75" customHeight="1">
      <c r="A46" s="31"/>
      <c r="B46" s="70" t="s">
        <v>67</v>
      </c>
      <c r="C46" s="37"/>
      <c r="D46" s="33"/>
      <c r="E46" s="33"/>
      <c r="F46" s="31"/>
      <c r="G46" s="31"/>
      <c r="H46" s="31"/>
      <c r="I46" s="31"/>
      <c r="J46" s="31"/>
      <c r="K46" s="31"/>
    </row>
    <row r="47" spans="1:11" ht="12.75" customHeight="1">
      <c r="A47" s="31"/>
      <c r="B47" s="38" t="s">
        <v>68</v>
      </c>
      <c r="C47" s="37"/>
      <c r="D47" s="33"/>
      <c r="E47" s="33"/>
      <c r="F47" s="31"/>
      <c r="G47" s="31"/>
      <c r="H47" s="31"/>
      <c r="I47" s="31"/>
      <c r="J47" s="31"/>
      <c r="K47" s="31"/>
    </row>
    <row r="48" spans="1:11" ht="12" customHeight="1">
      <c r="A48" s="31"/>
      <c r="B48" s="37"/>
      <c r="C48" s="37"/>
      <c r="D48" s="33"/>
      <c r="E48" s="86"/>
      <c r="F48" s="64"/>
      <c r="G48" s="87"/>
      <c r="H48" s="31"/>
      <c r="I48" s="31"/>
      <c r="J48" s="31"/>
      <c r="K48" s="31"/>
    </row>
    <row r="49" spans="1:11" ht="15" customHeight="1">
      <c r="A49" s="31"/>
      <c r="B49" s="82" t="s">
        <v>69</v>
      </c>
      <c r="C49" s="37">
        <f>E12</f>
        <v>0.264</v>
      </c>
      <c r="D49" s="65" t="s">
        <v>70</v>
      </c>
      <c r="E49" s="88">
        <f>IF(C12&lt;33,C49/0.048,C49/0.038)</f>
        <v>5.5</v>
      </c>
      <c r="F49" s="89"/>
      <c r="G49" s="88">
        <f>IF(C12&lt;33,C49/0.019,C49/0.017)</f>
        <v>13.894736842105264</v>
      </c>
      <c r="H49" s="90"/>
      <c r="I49" s="31"/>
      <c r="J49" s="31"/>
      <c r="K49" s="31"/>
    </row>
    <row r="50" spans="1:11" ht="12" customHeight="1">
      <c r="A50" s="31"/>
      <c r="B50" s="31"/>
      <c r="C50" s="37"/>
      <c r="D50" s="37"/>
      <c r="E50" s="58"/>
      <c r="F50" s="59" t="s">
        <v>71</v>
      </c>
      <c r="G50" s="91"/>
      <c r="H50" s="31"/>
      <c r="I50" s="31"/>
      <c r="J50" s="31"/>
      <c r="K50" s="31"/>
    </row>
    <row r="51" spans="1:11" ht="15" customHeight="1">
      <c r="A51" s="31"/>
      <c r="B51" s="31"/>
      <c r="C51" s="37"/>
      <c r="D51" s="60" t="s">
        <v>72</v>
      </c>
      <c r="E51" s="92">
        <f>IF(C12&lt;33,C49/0.09,C49/0.075)</f>
        <v>2.9333333333333336</v>
      </c>
      <c r="F51" s="62"/>
      <c r="G51" s="31"/>
      <c r="H51" s="31"/>
      <c r="I51" s="31"/>
      <c r="J51" s="31"/>
      <c r="K51" s="31"/>
    </row>
    <row r="52" spans="1:11" ht="12.75" customHeight="1">
      <c r="A52" s="31"/>
      <c r="B52" s="31"/>
      <c r="C52" s="37"/>
      <c r="D52" s="33"/>
      <c r="E52" s="85"/>
      <c r="F52" s="31"/>
      <c r="G52" s="31"/>
      <c r="H52" s="31"/>
      <c r="I52" s="31"/>
      <c r="J52" s="31"/>
      <c r="K52" s="31"/>
    </row>
  </sheetData>
  <mergeCells count="4">
    <mergeCell ref="B5:C5"/>
    <mergeCell ref="B3:F3"/>
    <mergeCell ref="C28:F28"/>
    <mergeCell ref="B2:F2"/>
  </mergeCells>
  <printOptions/>
  <pageMargins left="0.7875000238418579" right="0.7875000238418579" top="0.9840277433395386" bottom="0.9840277433395386" header="0.511805534362793" footer="0.511805534362793"/>
  <pageSetup horizontalDpi="300" verticalDpi="300" orientation="portrait" paperSize="9"/>
  <headerFooter alignWithMargins="0"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